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chmc-my.sharepoint.com/personal/juan_sanchezgurmaches_cchmc_org/Documents/JoVE Lipogenesis/Revission/Revision JAN2023 Final/"/>
    </mc:Choice>
  </mc:AlternateContent>
  <xr:revisionPtr revIDLastSave="2" documentId="8_{2DB0A913-BDD7-AF4D-88FC-EB8134ACCBF9}" xr6:coauthVersionLast="47" xr6:coauthVersionMax="47" xr10:uidLastSave="{C6CEE276-8AC7-7546-85BA-5EDF87FDBDFC}"/>
  <bookViews>
    <workbookView xWindow="-36260" yWindow="820" windowWidth="28800" windowHeight="18000" xr2:uid="{00000000-000D-0000-FFFF-FFFF00000000}"/>
  </bookViews>
  <sheets>
    <sheet name="Example data analysis" sheetId="6" r:id="rId1"/>
    <sheet name="DV-IDENTITY-0" sheetId="4" state="very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" i="6" l="1"/>
  <c r="L23" i="6"/>
  <c r="K23" i="6"/>
  <c r="J23" i="6"/>
  <c r="E23" i="6"/>
  <c r="D23" i="6"/>
  <c r="C23" i="6"/>
  <c r="B23" i="6"/>
  <c r="M22" i="6"/>
  <c r="M28" i="6" s="1"/>
  <c r="L22" i="6"/>
  <c r="L28" i="6" s="1"/>
  <c r="K22" i="6"/>
  <c r="K28" i="6" s="1"/>
  <c r="J22" i="6"/>
  <c r="J28" i="6" s="1"/>
  <c r="I22" i="6"/>
  <c r="I23" i="6" s="1"/>
  <c r="H22" i="6"/>
  <c r="H23" i="6" s="1"/>
  <c r="G22" i="6"/>
  <c r="F22" i="6"/>
  <c r="F23" i="6" s="1"/>
  <c r="E22" i="6"/>
  <c r="E28" i="6" s="1"/>
  <c r="D22" i="6"/>
  <c r="D28" i="6" s="1"/>
  <c r="C22" i="6"/>
  <c r="C28" i="6" s="1"/>
  <c r="B22" i="6"/>
  <c r="B28" i="6" s="1"/>
  <c r="M18" i="6"/>
  <c r="M31" i="6" s="1"/>
  <c r="M34" i="6" s="1"/>
  <c r="L18" i="6"/>
  <c r="L31" i="6" s="1"/>
  <c r="L34" i="6" s="1"/>
  <c r="K18" i="6"/>
  <c r="K31" i="6" s="1"/>
  <c r="K34" i="6" s="1"/>
  <c r="J18" i="6"/>
  <c r="J31" i="6" s="1"/>
  <c r="J34" i="6" s="1"/>
  <c r="I18" i="6"/>
  <c r="H18" i="6"/>
  <c r="G18" i="6"/>
  <c r="F18" i="6"/>
  <c r="E18" i="6"/>
  <c r="E31" i="6" s="1"/>
  <c r="E34" i="6" s="1"/>
  <c r="D18" i="6"/>
  <c r="D31" i="6" s="1"/>
  <c r="D34" i="6" s="1"/>
  <c r="C18" i="6"/>
  <c r="C31" i="6" s="1"/>
  <c r="C34" i="6" s="1"/>
  <c r="B18" i="6"/>
  <c r="B31" i="6" s="1"/>
  <c r="B34" i="6" s="1"/>
  <c r="M7" i="6"/>
  <c r="L7" i="6"/>
  <c r="K7" i="6"/>
  <c r="J7" i="6"/>
  <c r="I7" i="6"/>
  <c r="H7" i="6"/>
  <c r="G7" i="6"/>
  <c r="F7" i="6"/>
  <c r="E7" i="6"/>
  <c r="D7" i="6"/>
  <c r="C7" i="6"/>
  <c r="B7" i="6"/>
  <c r="A1" i="4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H28" i="6" l="1"/>
  <c r="H31" i="6" s="1"/>
  <c r="H34" i="6" s="1"/>
  <c r="I28" i="6"/>
  <c r="I31" i="6" s="1"/>
  <c r="I34" i="6" s="1"/>
  <c r="F28" i="6"/>
  <c r="F31" i="6" s="1"/>
  <c r="F34" i="6" s="1"/>
  <c r="G23" i="6"/>
  <c r="G28" i="6" s="1"/>
  <c r="G31" i="6" s="1"/>
  <c r="G34" i="6" s="1"/>
</calcChain>
</file>

<file path=xl/sharedStrings.xml><?xml version="1.0" encoding="utf-8"?>
<sst xmlns="http://schemas.openxmlformats.org/spreadsheetml/2006/main" count="51" uniqueCount="37">
  <si>
    <t>AAAAAH384Q8=</t>
  </si>
  <si>
    <t>C16:0</t>
  </si>
  <si>
    <t>Ion abundance</t>
  </si>
  <si>
    <t>RT_BAT_S1</t>
  </si>
  <si>
    <t>RT_BAT_S2</t>
  </si>
  <si>
    <t>RT_BAT_S3</t>
  </si>
  <si>
    <t>RT_BAT_S4</t>
  </si>
  <si>
    <t>RT_BAT_S5</t>
  </si>
  <si>
    <t>RT_BAT_S6</t>
  </si>
  <si>
    <t>TN_BAT_S1</t>
  </si>
  <si>
    <t>TN_BAT_S2</t>
  </si>
  <si>
    <t>TN_BAT_S3</t>
  </si>
  <si>
    <t>TN_BAT_S4</t>
  </si>
  <si>
    <t>TN_BAT_S5</t>
  </si>
  <si>
    <t>TN_BAT_S6</t>
  </si>
  <si>
    <t>C16:0 270-275*</t>
  </si>
  <si>
    <t>C16:0-d31 301</t>
  </si>
  <si>
    <t>* The sum of ions 270-275</t>
  </si>
  <si>
    <t>Fatty acid abundance in umoles/gram(added 10 umole/g tissue of the internal standard C16-d31)</t>
  </si>
  <si>
    <t>Palmitate natural isotope corrected mass isotopomer distribution(ions 270-275)</t>
  </si>
  <si>
    <t>C16:0 270 (M0)</t>
  </si>
  <si>
    <t>C16:0 271 (M1)</t>
  </si>
  <si>
    <t>C16:0 272 (M2)</t>
  </si>
  <si>
    <t>C16:0 273 (M3)</t>
  </si>
  <si>
    <t>C16:0 274 (M4)</t>
  </si>
  <si>
    <t>C16:0 275 (M5)</t>
  </si>
  <si>
    <t>Molar enrichment</t>
  </si>
  <si>
    <t>Plasma D2O enrichment - calculated from standard curve in step 7.3.</t>
  </si>
  <si>
    <t>% D2O enrichment</t>
  </si>
  <si>
    <t>p</t>
  </si>
  <si>
    <t>1-p</t>
  </si>
  <si>
    <t>Determination of N(number of exchangeable hydrogens that can be incorporated into the newly synthesized acyl chain)</t>
  </si>
  <si>
    <t>Using the equation m2/m1=((N-1)/2)*(p/(1-p))</t>
  </si>
  <si>
    <t>This can be rearranged to solve for N: N= (((m2/m1)/(p/1-p))*2)+1</t>
  </si>
  <si>
    <t>C16:0 N*</t>
  </si>
  <si>
    <t>Fractional synthesis: FNS = MPE/(N*P)</t>
  </si>
  <si>
    <t>Total synthesis :FNS*molar abundance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</si>
</sst>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1" xfId="0" applyFill="1" applyBorder="1"/>
    <xf numFmtId="0" fontId="1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4" borderId="0" xfId="0" applyFill="1"/>
    <xf numFmtId="0" fontId="0" fillId="4" borderId="1" xfId="0" applyFill="1" applyBorder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E8AFB-EE9E-A84A-BBE8-003BDDE6461D}">
  <dimension ref="A1:M35"/>
  <sheetViews>
    <sheetView tabSelected="1" workbookViewId="0"/>
  </sheetViews>
  <sheetFormatPr baseColWidth="10" defaultRowHeight="15" x14ac:dyDescent="0.2"/>
  <cols>
    <col min="1" max="1" width="15.5" customWidth="1"/>
  </cols>
  <sheetData>
    <row r="1" spans="1:13" s="2" customFormat="1" ht="16" x14ac:dyDescent="0.2">
      <c r="A1" s="1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</row>
    <row r="2" spans="1:13" s="2" customFormat="1" x14ac:dyDescent="0.2">
      <c r="A2" s="2" t="s">
        <v>15</v>
      </c>
      <c r="B2" s="2">
        <v>41401646</v>
      </c>
      <c r="C2" s="2">
        <v>12825258</v>
      </c>
      <c r="D2" s="2">
        <v>41232743</v>
      </c>
      <c r="E2" s="2">
        <v>34752994</v>
      </c>
      <c r="F2" s="2">
        <v>34083670</v>
      </c>
      <c r="G2" s="3">
        <v>23298967</v>
      </c>
      <c r="H2" s="2">
        <v>21978216</v>
      </c>
      <c r="I2" s="2">
        <v>20244498</v>
      </c>
      <c r="J2" s="2">
        <v>17775631</v>
      </c>
      <c r="K2" s="2">
        <v>31986264</v>
      </c>
      <c r="L2" s="2">
        <v>24207178</v>
      </c>
      <c r="M2" s="2">
        <v>21347728</v>
      </c>
    </row>
    <row r="3" spans="1:13" s="2" customFormat="1" x14ac:dyDescent="0.2">
      <c r="A3" s="2" t="s">
        <v>16</v>
      </c>
      <c r="B3" s="2">
        <v>2410983</v>
      </c>
      <c r="C3" s="2">
        <v>824021</v>
      </c>
      <c r="D3" s="2">
        <v>2696506</v>
      </c>
      <c r="E3" s="2">
        <v>2590530</v>
      </c>
      <c r="F3" s="2">
        <v>2074084</v>
      </c>
      <c r="G3" s="3">
        <v>1714416</v>
      </c>
      <c r="H3" s="2">
        <v>2329872</v>
      </c>
      <c r="I3" s="2">
        <v>1651442</v>
      </c>
      <c r="J3" s="2">
        <v>1848437</v>
      </c>
      <c r="K3" s="2">
        <v>2174660</v>
      </c>
      <c r="L3" s="2">
        <v>2109933</v>
      </c>
      <c r="M3" s="2">
        <v>2054028</v>
      </c>
    </row>
    <row r="4" spans="1:13" s="2" customFormat="1" x14ac:dyDescent="0.2">
      <c r="A4" s="2" t="s">
        <v>17</v>
      </c>
    </row>
    <row r="5" spans="1:13" s="2" customFormat="1" x14ac:dyDescent="0.2"/>
    <row r="6" spans="1:13" s="2" customFormat="1" ht="16" x14ac:dyDescent="0.2">
      <c r="A6" s="1" t="s">
        <v>18</v>
      </c>
    </row>
    <row r="7" spans="1:13" s="2" customFormat="1" x14ac:dyDescent="0.2">
      <c r="A7" s="2" t="s">
        <v>1</v>
      </c>
      <c r="B7" s="2">
        <f>(B2/B3)*10</f>
        <v>171.72102001548748</v>
      </c>
      <c r="C7" s="2">
        <f t="shared" ref="C7:M7" si="0">(C2/C3)*10</f>
        <v>155.64236833770013</v>
      </c>
      <c r="D7" s="2">
        <f t="shared" si="0"/>
        <v>152.9117420840154</v>
      </c>
      <c r="E7" s="2">
        <f t="shared" si="0"/>
        <v>134.15399165421749</v>
      </c>
      <c r="F7" s="2">
        <f t="shared" si="0"/>
        <v>164.33119391500054</v>
      </c>
      <c r="G7" s="2">
        <f t="shared" si="0"/>
        <v>135.90031240959019</v>
      </c>
      <c r="H7" s="2">
        <f t="shared" si="0"/>
        <v>94.332289499165611</v>
      </c>
      <c r="I7" s="2">
        <f t="shared" si="0"/>
        <v>122.58679384440993</v>
      </c>
      <c r="J7" s="2">
        <f t="shared" si="0"/>
        <v>96.165738945931082</v>
      </c>
      <c r="K7" s="2">
        <f t="shared" si="0"/>
        <v>147.08627555571906</v>
      </c>
      <c r="L7" s="2">
        <f t="shared" si="0"/>
        <v>114.72960515807848</v>
      </c>
      <c r="M7" s="2">
        <f t="shared" si="0"/>
        <v>103.93104670432925</v>
      </c>
    </row>
    <row r="8" spans="1:13" s="2" customFormat="1" x14ac:dyDescent="0.2"/>
    <row r="9" spans="1:13" s="5" customFormat="1" ht="16" x14ac:dyDescent="0.2">
      <c r="A9" s="4" t="s">
        <v>19</v>
      </c>
    </row>
    <row r="10" spans="1:13" s="5" customFormat="1" x14ac:dyDescent="0.2"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</row>
    <row r="11" spans="1:13" s="5" customFormat="1" x14ac:dyDescent="0.2">
      <c r="A11" s="5" t="s">
        <v>20</v>
      </c>
      <c r="B11" s="5">
        <v>0.66439999999999999</v>
      </c>
      <c r="C11" s="5">
        <v>0.66349999999999998</v>
      </c>
      <c r="D11" s="5">
        <v>0.68930000000000002</v>
      </c>
      <c r="E11" s="5">
        <v>0.68959999999999999</v>
      </c>
      <c r="F11" s="5">
        <v>0.59260000000000002</v>
      </c>
      <c r="G11" s="6">
        <v>0.65269999999999995</v>
      </c>
      <c r="H11" s="5">
        <v>0.93589999999999995</v>
      </c>
      <c r="I11" s="5">
        <v>0.91180000000000005</v>
      </c>
      <c r="J11" s="5">
        <v>0.94620000000000004</v>
      </c>
      <c r="K11" s="5">
        <v>0.9234</v>
      </c>
      <c r="L11" s="5">
        <v>0.91959999999999997</v>
      </c>
      <c r="M11" s="5">
        <v>0.93049999999999999</v>
      </c>
    </row>
    <row r="12" spans="1:13" s="5" customFormat="1" x14ac:dyDescent="0.2">
      <c r="A12" s="5" t="s">
        <v>21</v>
      </c>
      <c r="B12" s="5">
        <v>0.25159999999999999</v>
      </c>
      <c r="C12" s="5">
        <v>0.2465</v>
      </c>
      <c r="D12" s="5">
        <v>0.23219999999999999</v>
      </c>
      <c r="E12" s="5">
        <v>0.23150000000000001</v>
      </c>
      <c r="F12" s="5">
        <v>0.2828</v>
      </c>
      <c r="G12" s="6">
        <v>0.248</v>
      </c>
      <c r="H12" s="5">
        <v>4.0899999999999999E-2</v>
      </c>
      <c r="I12" s="5">
        <v>5.6000000000000001E-2</v>
      </c>
      <c r="J12" s="5">
        <v>3.6400000000000002E-2</v>
      </c>
      <c r="K12" s="5">
        <v>5.1200000000000002E-2</v>
      </c>
      <c r="L12" s="5">
        <v>5.28E-2</v>
      </c>
      <c r="M12" s="5">
        <v>4.5900000000000003E-2</v>
      </c>
    </row>
    <row r="13" spans="1:13" s="5" customFormat="1" x14ac:dyDescent="0.2">
      <c r="A13" s="5" t="s">
        <v>22</v>
      </c>
      <c r="B13" s="5">
        <v>6.9500000000000006E-2</v>
      </c>
      <c r="C13" s="5">
        <v>7.4099999999999999E-2</v>
      </c>
      <c r="D13" s="5">
        <v>6.4600000000000005E-2</v>
      </c>
      <c r="E13" s="5">
        <v>6.5000000000000002E-2</v>
      </c>
      <c r="F13" s="5">
        <v>9.8299999999999998E-2</v>
      </c>
      <c r="G13" s="6">
        <v>7.9799999999999996E-2</v>
      </c>
      <c r="H13" s="5">
        <v>1.66E-2</v>
      </c>
      <c r="I13" s="5">
        <v>2.2499999999999999E-2</v>
      </c>
      <c r="J13" s="5">
        <v>1.24E-2</v>
      </c>
      <c r="K13" s="5">
        <v>1.83E-2</v>
      </c>
      <c r="L13" s="5">
        <v>1.9699999999999999E-2</v>
      </c>
      <c r="M13" s="5">
        <v>1.6799999999999999E-2</v>
      </c>
    </row>
    <row r="14" spans="1:13" s="5" customFormat="1" x14ac:dyDescent="0.2">
      <c r="A14" s="5" t="s">
        <v>23</v>
      </c>
      <c r="B14" s="5">
        <v>1.2800000000000001E-2</v>
      </c>
      <c r="C14" s="5">
        <v>1.4E-2</v>
      </c>
      <c r="D14" s="5">
        <v>1.23E-2</v>
      </c>
      <c r="E14" s="5">
        <v>1.2200000000000001E-2</v>
      </c>
      <c r="F14" s="5">
        <v>2.23E-2</v>
      </c>
      <c r="G14" s="6">
        <v>1.6899999999999998E-2</v>
      </c>
      <c r="H14" s="5">
        <v>5.3E-3</v>
      </c>
      <c r="I14" s="5">
        <v>7.7999999999999996E-3</v>
      </c>
      <c r="J14" s="5">
        <v>4.1000000000000003E-3</v>
      </c>
      <c r="K14" s="5">
        <v>5.7999999999999996E-3</v>
      </c>
      <c r="L14" s="5">
        <v>6.3E-3</v>
      </c>
      <c r="M14" s="5">
        <v>5.4999999999999997E-3</v>
      </c>
    </row>
    <row r="15" spans="1:13" s="5" customFormat="1" x14ac:dyDescent="0.2">
      <c r="A15" s="5" t="s">
        <v>24</v>
      </c>
      <c r="B15" s="5">
        <v>1.6000000000000001E-3</v>
      </c>
      <c r="C15" s="5">
        <v>1.6999999999999999E-3</v>
      </c>
      <c r="D15" s="5">
        <v>1.6999999999999999E-3</v>
      </c>
      <c r="E15" s="5">
        <v>1.6000000000000001E-3</v>
      </c>
      <c r="F15" s="5">
        <v>3.7000000000000002E-3</v>
      </c>
      <c r="G15" s="6">
        <v>2.3999999999999998E-3</v>
      </c>
      <c r="H15" s="5">
        <v>1.1999999999999999E-3</v>
      </c>
      <c r="I15" s="5">
        <v>1.6999999999999999E-3</v>
      </c>
      <c r="J15" s="5">
        <v>8.9999999999999998E-4</v>
      </c>
      <c r="K15" s="5">
        <v>1.1000000000000001E-3</v>
      </c>
      <c r="L15" s="5">
        <v>1.4E-3</v>
      </c>
      <c r="M15" s="5">
        <v>1.2999999999999999E-3</v>
      </c>
    </row>
    <row r="16" spans="1:13" s="5" customFormat="1" x14ac:dyDescent="0.2">
      <c r="A16" s="5" t="s">
        <v>25</v>
      </c>
      <c r="B16" s="5">
        <v>2.0000000000000001E-4</v>
      </c>
      <c r="C16" s="5">
        <v>2.9999999999999997E-4</v>
      </c>
      <c r="D16" s="5">
        <v>1E-4</v>
      </c>
      <c r="E16" s="5">
        <v>2.0000000000000001E-4</v>
      </c>
      <c r="F16" s="5">
        <v>5.0000000000000001E-4</v>
      </c>
      <c r="G16" s="6">
        <v>4.0000000000000002E-4</v>
      </c>
      <c r="H16" s="5">
        <v>1E-4</v>
      </c>
      <c r="I16" s="5">
        <v>2.9999999999999997E-4</v>
      </c>
      <c r="J16" s="5">
        <v>1E-4</v>
      </c>
      <c r="K16" s="5">
        <v>2.0000000000000001E-4</v>
      </c>
      <c r="L16" s="5">
        <v>2.0000000000000001E-4</v>
      </c>
      <c r="M16" s="5">
        <v>1E-4</v>
      </c>
    </row>
    <row r="17" spans="1:13" s="5" customFormat="1" x14ac:dyDescent="0.2"/>
    <row r="18" spans="1:13" s="5" customFormat="1" x14ac:dyDescent="0.2">
      <c r="A18" s="5" t="s">
        <v>26</v>
      </c>
      <c r="B18" s="5">
        <f>B12+(B13*2)+(B14*3)+(B15*4)</f>
        <v>0.43540000000000001</v>
      </c>
      <c r="C18" s="5">
        <f t="shared" ref="C18:M18" si="1">C12+(C13*2)+(C14*3)+(C15*4)</f>
        <v>0.44349999999999995</v>
      </c>
      <c r="D18" s="5">
        <f t="shared" si="1"/>
        <v>0.40509999999999996</v>
      </c>
      <c r="E18" s="5">
        <f t="shared" si="1"/>
        <v>0.40450000000000008</v>
      </c>
      <c r="F18" s="5">
        <f t="shared" si="1"/>
        <v>0.56110000000000004</v>
      </c>
      <c r="G18" s="5">
        <f t="shared" si="1"/>
        <v>0.46789999999999993</v>
      </c>
      <c r="H18" s="5">
        <f t="shared" si="1"/>
        <v>9.4799999999999995E-2</v>
      </c>
      <c r="I18" s="5">
        <f t="shared" si="1"/>
        <v>0.13120000000000001</v>
      </c>
      <c r="J18" s="5">
        <f t="shared" si="1"/>
        <v>7.7100000000000016E-2</v>
      </c>
      <c r="K18" s="5">
        <f t="shared" si="1"/>
        <v>0.1096</v>
      </c>
      <c r="L18" s="5">
        <f t="shared" si="1"/>
        <v>0.1167</v>
      </c>
      <c r="M18" s="5">
        <f t="shared" si="1"/>
        <v>0.1012</v>
      </c>
    </row>
    <row r="19" spans="1:13" s="5" customFormat="1" x14ac:dyDescent="0.2"/>
    <row r="20" spans="1:13" s="7" customFormat="1" x14ac:dyDescent="0.2">
      <c r="A20" s="7" t="s">
        <v>27</v>
      </c>
    </row>
    <row r="21" spans="1:13" s="7" customFormat="1" x14ac:dyDescent="0.2">
      <c r="A21" s="7" t="s">
        <v>28</v>
      </c>
      <c r="B21" s="7">
        <v>3.958078</v>
      </c>
      <c r="C21" s="7">
        <v>4.2459784000000003</v>
      </c>
      <c r="D21" s="7">
        <v>3.8741989999999999</v>
      </c>
      <c r="E21" s="7">
        <v>4.4081364000000001</v>
      </c>
      <c r="F21" s="7">
        <v>4.9394473999999997</v>
      </c>
      <c r="G21" s="8">
        <v>4.3738035999999996</v>
      </c>
      <c r="H21" s="7">
        <v>5.4318340000000003</v>
      </c>
      <c r="I21" s="7">
        <v>5.5830282999999996</v>
      </c>
      <c r="J21" s="7">
        <v>5.2833633000000004</v>
      </c>
      <c r="K21" s="7">
        <v>5.2980323</v>
      </c>
      <c r="L21" s="7">
        <v>5.54068</v>
      </c>
      <c r="M21" s="7">
        <v>5.3869332999999999</v>
      </c>
    </row>
    <row r="22" spans="1:13" s="7" customFormat="1" x14ac:dyDescent="0.2">
      <c r="A22" s="7" t="s">
        <v>29</v>
      </c>
      <c r="B22" s="7">
        <f t="shared" ref="B22:M22" si="2">B21/100</f>
        <v>3.9580780000000003E-2</v>
      </c>
      <c r="C22" s="7">
        <f t="shared" si="2"/>
        <v>4.2459784E-2</v>
      </c>
      <c r="D22" s="7">
        <f t="shared" si="2"/>
        <v>3.8741989999999997E-2</v>
      </c>
      <c r="E22" s="7">
        <f t="shared" si="2"/>
        <v>4.4081363999999998E-2</v>
      </c>
      <c r="F22" s="7">
        <f t="shared" si="2"/>
        <v>4.9394473999999994E-2</v>
      </c>
      <c r="G22" s="8">
        <f t="shared" si="2"/>
        <v>4.3738035999999994E-2</v>
      </c>
      <c r="H22" s="7">
        <f t="shared" si="2"/>
        <v>5.431834E-2</v>
      </c>
      <c r="I22" s="7">
        <f t="shared" si="2"/>
        <v>5.5830282999999994E-2</v>
      </c>
      <c r="J22" s="7">
        <f t="shared" si="2"/>
        <v>5.2833633000000005E-2</v>
      </c>
      <c r="K22" s="7">
        <f t="shared" si="2"/>
        <v>5.2980323000000003E-2</v>
      </c>
      <c r="L22" s="7">
        <f t="shared" si="2"/>
        <v>5.5406799999999999E-2</v>
      </c>
      <c r="M22" s="7">
        <f t="shared" si="2"/>
        <v>5.3869332999999998E-2</v>
      </c>
    </row>
    <row r="23" spans="1:13" s="7" customFormat="1" x14ac:dyDescent="0.2">
      <c r="A23" s="7" t="s">
        <v>30</v>
      </c>
      <c r="B23" s="7">
        <f>1-B22</f>
        <v>0.96041922000000002</v>
      </c>
      <c r="C23" s="7">
        <f t="shared" ref="C23:M23" si="3">1-C22</f>
        <v>0.95754021599999994</v>
      </c>
      <c r="D23" s="7">
        <f t="shared" si="3"/>
        <v>0.96125801</v>
      </c>
      <c r="E23" s="7">
        <f t="shared" si="3"/>
        <v>0.95591863600000004</v>
      </c>
      <c r="F23" s="7">
        <f t="shared" si="3"/>
        <v>0.95060552600000003</v>
      </c>
      <c r="G23" s="7">
        <f t="shared" si="3"/>
        <v>0.95626196399999996</v>
      </c>
      <c r="H23" s="7">
        <f t="shared" si="3"/>
        <v>0.94568165999999998</v>
      </c>
      <c r="I23" s="7">
        <f t="shared" si="3"/>
        <v>0.94416971699999996</v>
      </c>
      <c r="J23" s="7">
        <f t="shared" si="3"/>
        <v>0.94716636700000001</v>
      </c>
      <c r="K23" s="7">
        <f t="shared" si="3"/>
        <v>0.947019677</v>
      </c>
      <c r="L23" s="7">
        <f t="shared" si="3"/>
        <v>0.94459320000000002</v>
      </c>
      <c r="M23" s="7">
        <f t="shared" si="3"/>
        <v>0.94613066700000004</v>
      </c>
    </row>
    <row r="24" spans="1:13" s="7" customFormat="1" x14ac:dyDescent="0.2"/>
    <row r="25" spans="1:13" s="9" customFormat="1" x14ac:dyDescent="0.2">
      <c r="A25" s="9" t="s">
        <v>31</v>
      </c>
    </row>
    <row r="26" spans="1:13" s="9" customFormat="1" x14ac:dyDescent="0.2">
      <c r="A26" s="9" t="s">
        <v>32</v>
      </c>
    </row>
    <row r="27" spans="1:13" s="9" customFormat="1" x14ac:dyDescent="0.2">
      <c r="A27" s="9" t="s">
        <v>33</v>
      </c>
    </row>
    <row r="28" spans="1:13" s="9" customFormat="1" x14ac:dyDescent="0.2">
      <c r="A28" s="9" t="s">
        <v>34</v>
      </c>
      <c r="B28" s="9">
        <f>(((B13/B12)/(B$22/B$23))*2)+1</f>
        <v>14.405427175297673</v>
      </c>
      <c r="C28" s="9">
        <f t="shared" ref="C28:M28" si="4">(((C13/C12)/(C$22/C$23))*2)+1</f>
        <v>14.558464945230163</v>
      </c>
      <c r="D28" s="9">
        <f t="shared" si="4"/>
        <v>14.805697247871599</v>
      </c>
      <c r="E28" s="9">
        <f t="shared" si="4"/>
        <v>13.177503443419944</v>
      </c>
      <c r="F28" s="9">
        <f t="shared" si="4"/>
        <v>14.379074681039462</v>
      </c>
      <c r="G28" s="9">
        <f t="shared" si="4"/>
        <v>15.070152682991839</v>
      </c>
      <c r="H28" s="9">
        <f t="shared" si="4"/>
        <v>15.132313183161299</v>
      </c>
      <c r="I28" s="9">
        <f t="shared" si="4"/>
        <v>14.58953900168429</v>
      </c>
      <c r="J28" s="9">
        <f t="shared" si="4"/>
        <v>13.214229904535355</v>
      </c>
      <c r="K28" s="9">
        <f t="shared" si="4"/>
        <v>13.777783503329506</v>
      </c>
      <c r="L28" s="9">
        <f t="shared" si="4"/>
        <v>13.721667655496175</v>
      </c>
      <c r="M28" s="9">
        <f t="shared" si="4"/>
        <v>13.856895474949997</v>
      </c>
    </row>
    <row r="29" spans="1:13" s="9" customFormat="1" x14ac:dyDescent="0.2"/>
    <row r="30" spans="1:13" s="10" customFormat="1" x14ac:dyDescent="0.2">
      <c r="A30" s="10" t="s">
        <v>35</v>
      </c>
    </row>
    <row r="31" spans="1:13" s="10" customFormat="1" x14ac:dyDescent="0.2">
      <c r="A31" s="10" t="s">
        <v>1</v>
      </c>
      <c r="B31" s="10">
        <f>B18/(B28*B22)</f>
        <v>0.76362112626119727</v>
      </c>
      <c r="C31" s="10">
        <f t="shared" ref="C31:M31" si="5">C18/(C28*C22)</f>
        <v>0.71746423807385773</v>
      </c>
      <c r="D31" s="10">
        <f t="shared" si="5"/>
        <v>0.70623860552428697</v>
      </c>
      <c r="E31" s="10">
        <f t="shared" si="5"/>
        <v>0.69635446279559265</v>
      </c>
      <c r="F31" s="10">
        <f t="shared" si="5"/>
        <v>0.79000704533019006</v>
      </c>
      <c r="G31" s="10">
        <f t="shared" si="5"/>
        <v>0.7098655742965726</v>
      </c>
      <c r="H31" s="10">
        <f t="shared" si="5"/>
        <v>0.11533378029860136</v>
      </c>
      <c r="I31" s="10">
        <f t="shared" si="5"/>
        <v>0.16107288462106176</v>
      </c>
      <c r="J31" s="10">
        <f t="shared" si="5"/>
        <v>0.11043380713119193</v>
      </c>
      <c r="K31" s="10">
        <f t="shared" si="5"/>
        <v>0.15014697822684667</v>
      </c>
      <c r="L31" s="10">
        <f t="shared" si="5"/>
        <v>0.15349735325280256</v>
      </c>
      <c r="M31" s="10">
        <f t="shared" si="5"/>
        <v>0.13557292723497122</v>
      </c>
    </row>
    <row r="32" spans="1:13" s="10" customFormat="1" x14ac:dyDescent="0.2"/>
    <row r="33" spans="1:13" s="10" customFormat="1" x14ac:dyDescent="0.2">
      <c r="A33" s="10" t="s">
        <v>36</v>
      </c>
    </row>
    <row r="34" spans="1:13" s="10" customFormat="1" x14ac:dyDescent="0.2">
      <c r="A34" s="10" t="s">
        <v>1</v>
      </c>
      <c r="B34" s="10">
        <f>B31*B7</f>
        <v>131.12979870694815</v>
      </c>
      <c r="C34" s="10">
        <f t="shared" ref="C34:M34" si="6">C31*C7</f>
        <v>111.66783321141874</v>
      </c>
      <c r="D34" s="10">
        <f t="shared" si="6"/>
        <v>107.99217549770447</v>
      </c>
      <c r="E34" s="10">
        <f t="shared" si="6"/>
        <v>93.418730790257044</v>
      </c>
      <c r="F34" s="10">
        <f t="shared" si="6"/>
        <v>129.82280096037209</v>
      </c>
      <c r="G34" s="10">
        <f t="shared" si="6"/>
        <v>96.470953315717367</v>
      </c>
      <c r="H34" s="10">
        <f t="shared" si="6"/>
        <v>10.879699552160828</v>
      </c>
      <c r="I34" s="10">
        <f t="shared" si="6"/>
        <v>19.745408500966523</v>
      </c>
      <c r="J34" s="10">
        <f t="shared" si="6"/>
        <v>10.619948667383506</v>
      </c>
      <c r="K34" s="10">
        <f t="shared" si="6"/>
        <v>22.084559813332518</v>
      </c>
      <c r="L34" s="10">
        <f t="shared" si="6"/>
        <v>17.610690731504132</v>
      </c>
      <c r="M34" s="10">
        <f t="shared" si="6"/>
        <v>14.090236232300425</v>
      </c>
    </row>
    <row r="35" spans="1:13" s="10" customForma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P1"/>
  <sheetViews>
    <sheetView workbookViewId="0">
      <selection activeCell="P1" sqref="P1"/>
    </sheetView>
  </sheetViews>
  <sheetFormatPr baseColWidth="10" defaultColWidth="8.83203125" defaultRowHeight="15" x14ac:dyDescent="0.2"/>
  <sheetData>
    <row r="1" spans="1:16" x14ac:dyDescent="0.2">
      <c r="A1" t="e">
        <f>IF(#REF!,"AAAAAH384QA=",0)</f>
        <v>#REF!</v>
      </c>
      <c r="B1" t="e">
        <f>AND(#REF!,"AAAAAH384QE=")</f>
        <v>#REF!</v>
      </c>
      <c r="C1" t="e">
        <f>AND(#REF!,"AAAAAH384QI=")</f>
        <v>#REF!</v>
      </c>
      <c r="D1" t="e">
        <f>AND(#REF!,"AAAAAH384QM=")</f>
        <v>#REF!</v>
      </c>
      <c r="E1" t="e">
        <f>AND(#REF!,"AAAAAH384QQ=")</f>
        <v>#REF!</v>
      </c>
      <c r="F1" t="e">
        <f>IF(#REF!,"AAAAAH384QU=",0)</f>
        <v>#REF!</v>
      </c>
      <c r="G1" t="e">
        <f>IF(#REF!,"AAAAAH384QY=",0)</f>
        <v>#REF!</v>
      </c>
      <c r="H1" t="e">
        <f>IF(#REF!,"AAAAAH384Qc=",0)</f>
        <v>#REF!</v>
      </c>
      <c r="I1" t="e">
        <f>IF(_xlfn.SINGLE(#REF!),"AAAAAH384Qg=",0)</f>
        <v>#REF!</v>
      </c>
      <c r="J1" t="e">
        <f>IF(#REF!,"AAAAAH384Qk=",0)</f>
        <v>#REF!</v>
      </c>
      <c r="K1" t="e">
        <f>AND(#REF!,"AAAAAH384Qo=")</f>
        <v>#REF!</v>
      </c>
      <c r="L1" t="e">
        <f>IF(#REF!,"AAAAAH384Qs=",0)</f>
        <v>#REF!</v>
      </c>
      <c r="M1" t="e">
        <f>IF(#REF!,"AAAAAH384Qw=",0)</f>
        <v>#REF!</v>
      </c>
      <c r="N1" t="e">
        <f>AND(#REF!,"AAAAAH384Q0=")</f>
        <v>#REF!</v>
      </c>
      <c r="O1" t="e">
        <f>IF(#REF!,"AAAAAH384Q4=",0)</f>
        <v>#REF!</v>
      </c>
      <c r="P1" t="s">
        <v>0</v>
      </c>
    </row>
  </sheetData>
  <pageMargins left="0.7" right="0.7" top="0.75" bottom="0.75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data analysis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Sanchez Gurmaches, Juan</cp:lastModifiedBy>
  <cp:revision/>
  <dcterms:created xsi:type="dcterms:W3CDTF">2012-02-23T18:29:07Z</dcterms:created>
  <dcterms:modified xsi:type="dcterms:W3CDTF">2023-01-19T18:04:06Z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1_TyPZ1nq2ij5qiLP5WKwIr5Ggz64fndPXsT3KppW9cQ</vt:lpwstr>
  </property>
  <property fmtid="{D5CDD505-2E9C-101B-9397-08002B2CF9AE}" pid="4" name="Google.Documents.RevisionId">
    <vt:lpwstr>02868307762065459680</vt:lpwstr>
  </property>
  <property fmtid="{D5CDD505-2E9C-101B-9397-08002B2CF9AE}" pid="5" name="Google.Documents.PreviousRevisionId">
    <vt:lpwstr>03149905390382699891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